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/>
  <mc:AlternateContent xmlns:mc="http://schemas.openxmlformats.org/markup-compatibility/2006">
    <mc:Choice Requires="x15">
      <x15ac:absPath xmlns:x15ac="http://schemas.microsoft.com/office/spreadsheetml/2010/11/ac" url="D:\01 - Sisprom\Orçamentos_Sisprom\Panilhas de Despesas\"/>
    </mc:Choice>
  </mc:AlternateContent>
  <xr:revisionPtr revIDLastSave="0" documentId="13_ncr:1_{786B077A-E107-465E-835A-FC4D0091026C}" xr6:coauthVersionLast="47" xr6:coauthVersionMax="47" xr10:uidLastSave="{00000000-0000-0000-0000-000000000000}"/>
  <bookViews>
    <workbookView xWindow="-120" yWindow="-120" windowWidth="29040" windowHeight="15720" activeTab="1" xr2:uid="{00000000-000D-0000-FFFF-FFFF00000000}"/>
  </bookViews>
  <sheets>
    <sheet name="Parâmetros" sheetId="1" r:id="rId1"/>
    <sheet name="Resumo por Cidade" sheetId="2" r:id="rId2"/>
    <sheet name="Proposta" sheetId="3" r:id="rId3"/>
  </sheets>
  <calcPr calcId="191029"/>
</workbook>
</file>

<file path=xl/calcChain.xml><?xml version="1.0" encoding="utf-8"?>
<calcChain xmlns="http://schemas.openxmlformats.org/spreadsheetml/2006/main">
  <c r="D7" i="2" l="1"/>
  <c r="G5" i="2"/>
  <c r="B7" i="2"/>
  <c r="L7" i="2"/>
  <c r="P7" i="2"/>
  <c r="E6" i="2"/>
  <c r="G11" i="2"/>
  <c r="G10" i="2"/>
  <c r="G9" i="2"/>
  <c r="G8" i="2"/>
  <c r="G6" i="2"/>
  <c r="H11" i="2"/>
  <c r="H10" i="2"/>
  <c r="H9" i="2"/>
  <c r="H8" i="2"/>
  <c r="H6" i="2"/>
  <c r="I11" i="2"/>
  <c r="I10" i="2"/>
  <c r="I9" i="2"/>
  <c r="I8" i="2"/>
  <c r="I6" i="2"/>
  <c r="D6" i="2"/>
  <c r="H5" i="2"/>
  <c r="H4" i="2"/>
  <c r="L6" i="2"/>
  <c r="B6" i="2"/>
  <c r="I7" i="2" l="1"/>
  <c r="H7" i="2"/>
  <c r="G7" i="2"/>
  <c r="E7" i="2"/>
  <c r="E4" i="2"/>
  <c r="B5" i="2"/>
  <c r="D5" i="2" s="1"/>
  <c r="B4" i="2"/>
  <c r="D4" i="2" s="1"/>
  <c r="L5" i="2"/>
  <c r="L4" i="2"/>
  <c r="O7" i="2" l="1"/>
  <c r="Q7" i="2" s="1"/>
  <c r="R7" i="2" s="1"/>
  <c r="W7" i="2" s="1"/>
  <c r="AA7" i="2" s="1"/>
  <c r="I5" i="2"/>
  <c r="E5" i="2"/>
  <c r="T7" i="2" l="1"/>
  <c r="X7" i="2" s="1"/>
  <c r="V7" i="2"/>
  <c r="Z7" i="2" s="1"/>
  <c r="S7" i="2"/>
  <c r="U7" i="2"/>
  <c r="Y7" i="2" s="1"/>
  <c r="G4" i="2"/>
  <c r="I4" i="2"/>
  <c r="B17" i="3" l="1"/>
  <c r="E8" i="3"/>
  <c r="E7" i="3"/>
  <c r="E6" i="3"/>
  <c r="B4" i="3"/>
  <c r="B3" i="3"/>
  <c r="W12" i="2"/>
  <c r="AA12" i="2" s="1"/>
  <c r="V12" i="2"/>
  <c r="Z12" i="2" s="1"/>
  <c r="U12" i="2"/>
  <c r="Y12" i="2" s="1"/>
  <c r="T12" i="2"/>
  <c r="X12" i="2" s="1"/>
  <c r="O11" i="2"/>
  <c r="O10" i="2"/>
  <c r="P10" i="2"/>
  <c r="O9" i="2"/>
  <c r="O8" i="2"/>
  <c r="O6" i="2"/>
  <c r="O5" i="2"/>
  <c r="O4" i="2"/>
  <c r="B5" i="3"/>
  <c r="Q10" i="2" l="1"/>
  <c r="R10" i="2" s="1"/>
  <c r="V10" i="2" s="1"/>
  <c r="Z10" i="2" s="1"/>
  <c r="P6" i="2"/>
  <c r="Q6" i="2" s="1"/>
  <c r="R6" i="2" s="1"/>
  <c r="U6" i="2" s="1"/>
  <c r="Y6" i="2" s="1"/>
  <c r="P9" i="2"/>
  <c r="Q9" i="2" s="1"/>
  <c r="R9" i="2" s="1"/>
  <c r="S9" i="2" s="1"/>
  <c r="V11" i="2"/>
  <c r="Z11" i="2" s="1"/>
  <c r="P8" i="2"/>
  <c r="Q8" i="2" s="1"/>
  <c r="R8" i="2" s="1"/>
  <c r="W8" i="2" s="1"/>
  <c r="AA8" i="2" s="1"/>
  <c r="P4" i="2"/>
  <c r="P11" i="2"/>
  <c r="Q11" i="2" s="1"/>
  <c r="R11" i="2" s="1"/>
  <c r="U11" i="2" s="1"/>
  <c r="Y11" i="2" s="1"/>
  <c r="O13" i="2"/>
  <c r="S11" i="2"/>
  <c r="T11" i="2"/>
  <c r="X11" i="2" s="1"/>
  <c r="W6" i="2" l="1"/>
  <c r="AA6" i="2" s="1"/>
  <c r="U9" i="2"/>
  <c r="Y9" i="2" s="1"/>
  <c r="T6" i="2"/>
  <c r="X6" i="2" s="1"/>
  <c r="V9" i="2"/>
  <c r="Z9" i="2" s="1"/>
  <c r="T9" i="2"/>
  <c r="X9" i="2" s="1"/>
  <c r="V8" i="2"/>
  <c r="Z8" i="2" s="1"/>
  <c r="W9" i="2"/>
  <c r="AA9" i="2" s="1"/>
  <c r="S6" i="2"/>
  <c r="W11" i="2"/>
  <c r="AA11" i="2" s="1"/>
  <c r="U8" i="2"/>
  <c r="Y8" i="2" s="1"/>
  <c r="U10" i="2"/>
  <c r="Y10" i="2" s="1"/>
  <c r="T10" i="2"/>
  <c r="X10" i="2" s="1"/>
  <c r="W10" i="2"/>
  <c r="AA10" i="2" s="1"/>
  <c r="V6" i="2"/>
  <c r="Z6" i="2" s="1"/>
  <c r="T8" i="2"/>
  <c r="X8" i="2" s="1"/>
  <c r="S10" i="2"/>
  <c r="S8" i="2"/>
  <c r="Q4" i="2"/>
  <c r="R4" i="2" l="1"/>
  <c r="W4" i="2" l="1"/>
  <c r="AA4" i="2" s="1"/>
  <c r="V4" i="2"/>
  <c r="Z4" i="2" s="1"/>
  <c r="U4" i="2"/>
  <c r="T4" i="2"/>
  <c r="X4" i="2" s="1"/>
  <c r="B6" i="3"/>
  <c r="S4" i="2"/>
  <c r="B7" i="3" s="1"/>
  <c r="Y4" i="2" l="1"/>
  <c r="B9" i="3"/>
  <c r="B10" i="3" l="1"/>
  <c r="C16" i="3" l="1"/>
  <c r="E9" i="3"/>
  <c r="E10" i="3" s="1"/>
  <c r="C15" i="3"/>
  <c r="C14" i="3"/>
  <c r="C17" i="3" l="1"/>
  <c r="P5" i="2" l="1"/>
  <c r="N13" i="2"/>
  <c r="Q5" i="2" l="1"/>
  <c r="P13" i="2"/>
  <c r="R5" i="2" l="1"/>
  <c r="Q13" i="2"/>
  <c r="S5" i="2" l="1"/>
  <c r="R13" i="2"/>
  <c r="V5" i="2"/>
  <c r="Z5" i="2" s="1"/>
  <c r="Z13" i="2" s="1"/>
  <c r="W5" i="2"/>
  <c r="AA5" i="2" s="1"/>
  <c r="AA13" i="2" s="1"/>
  <c r="U5" i="2"/>
  <c r="Y5" i="2" s="1"/>
  <c r="Y13" i="2" s="1"/>
  <c r="T5" i="2"/>
  <c r="X5" i="2" s="1"/>
  <c r="X13" i="2" s="1"/>
</calcChain>
</file>

<file path=xl/sharedStrings.xml><?xml version="1.0" encoding="utf-8"?>
<sst xmlns="http://schemas.openxmlformats.org/spreadsheetml/2006/main" count="187" uniqueCount="94">
  <si>
    <t>Parâmetros Globais</t>
  </si>
  <si>
    <t>Parâmetro</t>
  </si>
  <si>
    <t>Valor</t>
  </si>
  <si>
    <t>Descrição</t>
  </si>
  <si>
    <t>% Indiretos (admin/estrutura)</t>
  </si>
  <si>
    <t>Percentual aplicado sobre custo total base</t>
  </si>
  <si>
    <t>% Contingência (imprevistos)</t>
  </si>
  <si>
    <t>% Impostos sobre faturamento</t>
  </si>
  <si>
    <t>Tributos incidentes sobre a receita (ex.: ISS)</t>
  </si>
  <si>
    <t>Margem alvo 1</t>
  </si>
  <si>
    <t>Lucro alvo sobre o custo após indiretos/contingência</t>
  </si>
  <si>
    <t>Margem alvo 2</t>
  </si>
  <si>
    <t>Margem alvo 3</t>
  </si>
  <si>
    <t>Margem alvo 4</t>
  </si>
  <si>
    <t>Planilha de Despesas e Precificação – Equipes de Campo</t>
  </si>
  <si>
    <t>Data/Período</t>
  </si>
  <si>
    <t>Local</t>
  </si>
  <si>
    <t>Carro (R$)</t>
  </si>
  <si>
    <t>Gasolina (R$)</t>
  </si>
  <si>
    <t>Café (R$)</t>
  </si>
  <si>
    <t>Almoço (R$)</t>
  </si>
  <si>
    <t>Janta (R$)</t>
  </si>
  <si>
    <t>Outras Fixas (R$)</t>
  </si>
  <si>
    <t>Qtde de Duplas</t>
  </si>
  <si>
    <t>Imóveis por dupla</t>
  </si>
  <si>
    <t>Custo variável por imóvel (R$)</t>
  </si>
  <si>
    <t>Total de Imóveis</t>
  </si>
  <si>
    <t>Custo Fixo (R$)</t>
  </si>
  <si>
    <t>Custo Variável (R$)</t>
  </si>
  <si>
    <t>Custo Total Base (R$)</t>
  </si>
  <si>
    <t>Custo + Indiretos/Conting. (R$)</t>
  </si>
  <si>
    <t>Custo Médio por Imóvel (R$)</t>
  </si>
  <si>
    <t>Preço/un Margem1 (c/ impostos)</t>
  </si>
  <si>
    <t>Preço/un Margem2 (c/ impostos)</t>
  </si>
  <si>
    <t>Preço/un Margem3 (c/ impostos)</t>
  </si>
  <si>
    <t>Preço/un Margem4 (c/ impostos)</t>
  </si>
  <si>
    <t>Preço Total Margem1</t>
  </si>
  <si>
    <t>Preço Total Margem2</t>
  </si>
  <si>
    <t>Preço Total Margem3</t>
  </si>
  <si>
    <t>Preço Total Margem4</t>
  </si>
  <si>
    <t>Preencha as colunas amarelas; ajuste percentuais em 'Parâmetros'.</t>
  </si>
  <si>
    <t>Brumado</t>
  </si>
  <si>
    <t>Totais:</t>
  </si>
  <si>
    <t>Proposta Comercial – Recadastramento de Imóveis</t>
  </si>
  <si>
    <t>Período</t>
  </si>
  <si>
    <t>Margem escolhida (1 a 4)</t>
  </si>
  <si>
    <t>Tabela de referência</t>
  </si>
  <si>
    <t>Nível</t>
  </si>
  <si>
    <t>%</t>
  </si>
  <si>
    <t>Custo (com Indiretos + Cont.)</t>
  </si>
  <si>
    <t>1) Margem 1</t>
  </si>
  <si>
    <t>Custo Médio por Imóvel</t>
  </si>
  <si>
    <t>2) Margem 2</t>
  </si>
  <si>
    <t>3) Margem 3</t>
  </si>
  <si>
    <t>Preço por Imóvel (com impostos)</t>
  </si>
  <si>
    <t>Impostos estimados (sobre receita)</t>
  </si>
  <si>
    <t>Preço Total da Proposta</t>
  </si>
  <si>
    <t>Lucro estimado</t>
  </si>
  <si>
    <t>Cronograma de Pagamento</t>
  </si>
  <si>
    <t>Fase</t>
  </si>
  <si>
    <t>Valor (R$)</t>
  </si>
  <si>
    <t>Assinatura/Inicio</t>
  </si>
  <si>
    <t>Meio do Projeto</t>
  </si>
  <si>
    <t>Entrega Final</t>
  </si>
  <si>
    <t>Total</t>
  </si>
  <si>
    <t>Observações</t>
  </si>
  <si>
    <t>• Os preços por imóvel e total já consideram impostos conforme 'Parâmetros'.</t>
  </si>
  <si>
    <t>• Ajuste a célula E3 para escolher a margem (1–4); o cronograma recalcula automaticamente.</t>
  </si>
  <si>
    <t>• Edite percentuais do cronograma (coluna B) se desejar outra distribuição.</t>
  </si>
  <si>
    <t>Hospedagem/Aluguel (R$)</t>
  </si>
  <si>
    <t>Alimentação</t>
  </si>
  <si>
    <t>Café</t>
  </si>
  <si>
    <t>Almoço</t>
  </si>
  <si>
    <t>Jantar</t>
  </si>
  <si>
    <t>Janta  Para Alojados</t>
  </si>
  <si>
    <t>Dias</t>
  </si>
  <si>
    <t>Pessoas</t>
  </si>
  <si>
    <t>Quantidade de Pessoas Trabalhando</t>
  </si>
  <si>
    <t>Pessoas alojadas</t>
  </si>
  <si>
    <t>Transporte</t>
  </si>
  <si>
    <t>Aluguel de carro</t>
  </si>
  <si>
    <t>Aluguel Carro - dia</t>
  </si>
  <si>
    <t>Valor Gasolina</t>
  </si>
  <si>
    <t>Quantidade Gasolina - semana</t>
  </si>
  <si>
    <t>Gasto semanal de Gasolina</t>
  </si>
  <si>
    <t>Boa Nova</t>
  </si>
  <si>
    <t>95 dias uteis - 5 duplas + 1 responsavel</t>
  </si>
  <si>
    <t>Media de imoveis - dia</t>
  </si>
  <si>
    <t>Media de cadastros por dia de cada dupla</t>
  </si>
  <si>
    <t>Boa nova</t>
  </si>
  <si>
    <t>14 dias uteis - 3 duplas + 1 responsavel</t>
  </si>
  <si>
    <t>Ipiau</t>
  </si>
  <si>
    <t>70 dias uteis - 5 duplas + 1 responsavel</t>
  </si>
  <si>
    <t>Poções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</si>
</sst>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\R\$\ #,##0.00"/>
    <numFmt numFmtId="165" formatCode="&quot;R$&quot;\ #,##0.00"/>
  </numFmts>
  <fonts count="8" x14ac:knownFonts="1">
    <font>
      <sz val="11"/>
      <color theme="1"/>
      <name val="Calibri"/>
      <family val="2"/>
      <scheme val="minor"/>
    </font>
    <font>
      <b/>
      <sz val="14"/>
      <name val="Calibri"/>
    </font>
    <font>
      <b/>
      <sz val="11"/>
      <name val="Calibri"/>
    </font>
    <font>
      <i/>
      <sz val="11"/>
      <name val="Calibri"/>
    </font>
    <font>
      <b/>
      <sz val="11"/>
      <name val="Calibri"/>
    </font>
    <font>
      <b/>
      <sz val="11"/>
      <color theme="1"/>
      <name val="Calibri"/>
      <family val="2"/>
      <scheme val="minor"/>
    </font>
    <font>
      <b/>
      <sz val="14"/>
      <name val="Calibri"/>
      <family val="2"/>
    </font>
    <font>
      <sz val="8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rgb="FFFAFAFA"/>
      </patternFill>
    </fill>
    <fill>
      <patternFill patternType="solid">
        <fgColor rgb="FFFFF7AE"/>
      </patternFill>
    </fill>
    <fill>
      <patternFill patternType="solid">
        <fgColor rgb="FFFF7474"/>
        <bgColor indexed="64"/>
      </patternFill>
    </fill>
  </fills>
  <borders count="2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/>
    <xf numFmtId="0" fontId="2" fillId="2" borderId="1" xfId="0" applyFont="1" applyFill="1" applyBorder="1" applyAlignment="1">
      <alignment horizontal="center"/>
    </xf>
    <xf numFmtId="0" fontId="0" fillId="3" borderId="1" xfId="0" applyFill="1" applyBorder="1"/>
    <xf numFmtId="10" fontId="0" fillId="4" borderId="1" xfId="0" applyNumberFormat="1" applyFill="1" applyBorder="1"/>
    <xf numFmtId="0" fontId="3" fillId="3" borderId="0" xfId="0" applyFont="1" applyFill="1"/>
    <xf numFmtId="0" fontId="0" fillId="4" borderId="1" xfId="0" applyFill="1" applyBorder="1"/>
    <xf numFmtId="164" fontId="0" fillId="4" borderId="1" xfId="0" applyNumberFormat="1" applyFill="1" applyBorder="1"/>
    <xf numFmtId="1" fontId="0" fillId="4" borderId="1" xfId="0" applyNumberFormat="1" applyFill="1" applyBorder="1"/>
    <xf numFmtId="1" fontId="0" fillId="0" borderId="1" xfId="0" applyNumberFormat="1" applyBorder="1"/>
    <xf numFmtId="164" fontId="0" fillId="0" borderId="1" xfId="0" applyNumberFormat="1" applyBorder="1"/>
    <xf numFmtId="0" fontId="4" fillId="0" borderId="0" xfId="0" applyFont="1"/>
    <xf numFmtId="0" fontId="4" fillId="3" borderId="1" xfId="0" applyFont="1" applyFill="1" applyBorder="1"/>
    <xf numFmtId="0" fontId="0" fillId="0" borderId="1" xfId="0" applyBorder="1"/>
    <xf numFmtId="0" fontId="2" fillId="0" borderId="0" xfId="0" applyFont="1"/>
    <xf numFmtId="10" fontId="0" fillId="0" borderId="1" xfId="0" applyNumberFormat="1" applyBorder="1"/>
    <xf numFmtId="0" fontId="4" fillId="0" borderId="1" xfId="0" applyFont="1" applyBorder="1"/>
    <xf numFmtId="0" fontId="0" fillId="3" borderId="0" xfId="0" applyFill="1"/>
    <xf numFmtId="164" fontId="0" fillId="0" borderId="0" xfId="0" applyNumberFormat="1"/>
    <xf numFmtId="165" fontId="0" fillId="4" borderId="1" xfId="0" applyNumberFormat="1" applyFill="1" applyBorder="1"/>
    <xf numFmtId="2" fontId="0" fillId="4" borderId="1" xfId="0" applyNumberFormat="1" applyFill="1" applyBorder="1"/>
    <xf numFmtId="2" fontId="0" fillId="4" borderId="0" xfId="0" applyNumberFormat="1" applyFill="1"/>
    <xf numFmtId="3" fontId="0" fillId="4" borderId="1" xfId="0" applyNumberFormat="1" applyFill="1" applyBorder="1"/>
    <xf numFmtId="3" fontId="0" fillId="0" borderId="1" xfId="0" applyNumberFormat="1" applyBorder="1"/>
    <xf numFmtId="0" fontId="0" fillId="0" borderId="0" xfId="0" applyAlignment="1">
      <alignment wrapText="1"/>
    </xf>
    <xf numFmtId="164" fontId="5" fillId="5" borderId="1" xfId="0" applyNumberFormat="1" applyFont="1" applyFill="1" applyBorder="1"/>
    <xf numFmtId="0" fontId="2" fillId="2" borderId="1" xfId="0" applyFont="1" applyFill="1" applyBorder="1" applyAlignment="1">
      <alignment horizontal="center" wrapText="1"/>
    </xf>
    <xf numFmtId="0" fontId="1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43"/>
  <sheetViews>
    <sheetView topLeftCell="A16" workbookViewId="0">
      <selection activeCell="B32" sqref="B32:B33"/>
    </sheetView>
  </sheetViews>
  <sheetFormatPr defaultRowHeight="15" x14ac:dyDescent="0.25"/>
  <cols>
    <col min="1" max="1" width="34.7109375" customWidth="1"/>
    <col min="2" max="2" width="17.7109375" customWidth="1"/>
    <col min="3" max="3" width="39.7109375" customWidth="1"/>
    <col min="6" max="6" width="34.7109375" customWidth="1"/>
    <col min="7" max="7" width="17.7109375" customWidth="1"/>
    <col min="8" max="8" width="39.7109375" customWidth="1"/>
    <col min="11" max="11" width="34.7109375" customWidth="1"/>
    <col min="12" max="12" width="17.7109375" customWidth="1"/>
    <col min="13" max="13" width="39.7109375" customWidth="1"/>
  </cols>
  <sheetData>
    <row r="1" spans="1:13" ht="18.75" x14ac:dyDescent="0.3">
      <c r="A1" s="1" t="s">
        <v>0</v>
      </c>
    </row>
    <row r="2" spans="1:13" x14ac:dyDescent="0.25">
      <c r="A2" s="2" t="s">
        <v>1</v>
      </c>
      <c r="B2" s="2" t="s">
        <v>2</v>
      </c>
      <c r="C2" s="2" t="s">
        <v>3</v>
      </c>
    </row>
    <row r="3" spans="1:13" x14ac:dyDescent="0.25">
      <c r="A3" s="3" t="s">
        <v>4</v>
      </c>
      <c r="B3" s="4">
        <v>0.15</v>
      </c>
      <c r="C3" s="3" t="s">
        <v>5</v>
      </c>
    </row>
    <row r="4" spans="1:13" x14ac:dyDescent="0.25">
      <c r="A4" s="3" t="s">
        <v>6</v>
      </c>
      <c r="B4" s="4">
        <v>0.05</v>
      </c>
      <c r="C4" s="3" t="s">
        <v>5</v>
      </c>
    </row>
    <row r="5" spans="1:13" x14ac:dyDescent="0.25">
      <c r="A5" s="3" t="s">
        <v>7</v>
      </c>
      <c r="B5" s="4">
        <v>0.05</v>
      </c>
      <c r="C5" s="3" t="s">
        <v>8</v>
      </c>
    </row>
    <row r="6" spans="1:13" x14ac:dyDescent="0.25">
      <c r="A6" s="3" t="s">
        <v>9</v>
      </c>
      <c r="B6" s="4">
        <v>0.3</v>
      </c>
      <c r="C6" s="3" t="s">
        <v>10</v>
      </c>
    </row>
    <row r="7" spans="1:13" x14ac:dyDescent="0.25">
      <c r="A7" s="3" t="s">
        <v>11</v>
      </c>
      <c r="B7" s="4">
        <v>0.5</v>
      </c>
      <c r="C7" s="3" t="s">
        <v>10</v>
      </c>
    </row>
    <row r="8" spans="1:13" x14ac:dyDescent="0.25">
      <c r="A8" s="3" t="s">
        <v>12</v>
      </c>
      <c r="B8" s="4">
        <v>0.7</v>
      </c>
      <c r="C8" s="3" t="s">
        <v>10</v>
      </c>
    </row>
    <row r="9" spans="1:13" x14ac:dyDescent="0.25">
      <c r="A9" s="3" t="s">
        <v>13</v>
      </c>
      <c r="B9" s="4">
        <v>1</v>
      </c>
      <c r="C9" s="3" t="s">
        <v>10</v>
      </c>
    </row>
    <row r="10" spans="1:13" x14ac:dyDescent="0.25">
      <c r="A10" s="17" t="s">
        <v>87</v>
      </c>
      <c r="B10" s="21">
        <v>60</v>
      </c>
      <c r="C10" s="17" t="s">
        <v>88</v>
      </c>
    </row>
    <row r="12" spans="1:13" ht="18.75" x14ac:dyDescent="0.25">
      <c r="A12" s="27" t="s">
        <v>41</v>
      </c>
      <c r="B12" s="27"/>
      <c r="C12" s="27"/>
      <c r="F12" s="27" t="s">
        <v>89</v>
      </c>
      <c r="G12" s="27"/>
      <c r="H12" s="27"/>
      <c r="K12" s="28" t="s">
        <v>91</v>
      </c>
      <c r="L12" s="27"/>
      <c r="M12" s="27"/>
    </row>
    <row r="13" spans="1:13" ht="18.75" x14ac:dyDescent="0.3">
      <c r="A13" s="1" t="s">
        <v>70</v>
      </c>
      <c r="F13" s="1" t="s">
        <v>70</v>
      </c>
      <c r="K13" s="1" t="s">
        <v>70</v>
      </c>
    </row>
    <row r="14" spans="1:13" x14ac:dyDescent="0.25">
      <c r="A14" s="2" t="s">
        <v>1</v>
      </c>
      <c r="B14" s="2" t="s">
        <v>2</v>
      </c>
      <c r="C14" s="2" t="s">
        <v>3</v>
      </c>
      <c r="F14" s="2" t="s">
        <v>1</v>
      </c>
      <c r="G14" s="2" t="s">
        <v>2</v>
      </c>
      <c r="H14" s="2" t="s">
        <v>3</v>
      </c>
      <c r="K14" s="2" t="s">
        <v>1</v>
      </c>
      <c r="L14" s="2" t="s">
        <v>2</v>
      </c>
      <c r="M14" s="2" t="s">
        <v>3</v>
      </c>
    </row>
    <row r="15" spans="1:13" x14ac:dyDescent="0.25">
      <c r="A15" s="3" t="s">
        <v>78</v>
      </c>
      <c r="B15" s="20">
        <v>1</v>
      </c>
      <c r="C15" s="3" t="s">
        <v>77</v>
      </c>
      <c r="F15" s="3" t="s">
        <v>78</v>
      </c>
      <c r="G15" s="20">
        <v>1</v>
      </c>
      <c r="H15" s="3" t="s">
        <v>77</v>
      </c>
      <c r="K15" s="3" t="s">
        <v>78</v>
      </c>
      <c r="L15" s="20">
        <v>1</v>
      </c>
      <c r="M15" s="3" t="s">
        <v>77</v>
      </c>
    </row>
    <row r="16" spans="1:13" x14ac:dyDescent="0.25">
      <c r="A16" s="3" t="s">
        <v>76</v>
      </c>
      <c r="B16" s="20">
        <v>10</v>
      </c>
      <c r="C16" s="3" t="s">
        <v>77</v>
      </c>
      <c r="F16" s="3" t="s">
        <v>76</v>
      </c>
      <c r="G16" s="20">
        <v>6</v>
      </c>
      <c r="H16" s="3" t="s">
        <v>77</v>
      </c>
      <c r="K16" s="3" t="s">
        <v>76</v>
      </c>
      <c r="L16" s="20">
        <v>10</v>
      </c>
      <c r="M16" s="3" t="s">
        <v>77</v>
      </c>
    </row>
    <row r="17" spans="1:13" x14ac:dyDescent="0.25">
      <c r="A17" s="3" t="s">
        <v>71</v>
      </c>
      <c r="B17" s="19">
        <v>15</v>
      </c>
      <c r="C17" s="3" t="s">
        <v>71</v>
      </c>
      <c r="F17" s="3" t="s">
        <v>71</v>
      </c>
      <c r="G17" s="19">
        <v>15</v>
      </c>
      <c r="H17" s="3" t="s">
        <v>71</v>
      </c>
      <c r="K17" s="3" t="s">
        <v>71</v>
      </c>
      <c r="L17" s="19">
        <v>15</v>
      </c>
      <c r="M17" s="3" t="s">
        <v>71</v>
      </c>
    </row>
    <row r="18" spans="1:13" x14ac:dyDescent="0.25">
      <c r="A18" s="3" t="s">
        <v>72</v>
      </c>
      <c r="B18" s="19">
        <v>25</v>
      </c>
      <c r="C18" s="3" t="s">
        <v>72</v>
      </c>
      <c r="F18" s="3" t="s">
        <v>72</v>
      </c>
      <c r="G18" s="19">
        <v>25</v>
      </c>
      <c r="H18" s="3" t="s">
        <v>72</v>
      </c>
      <c r="K18" s="3" t="s">
        <v>72</v>
      </c>
      <c r="L18" s="19">
        <v>25</v>
      </c>
      <c r="M18" s="3" t="s">
        <v>72</v>
      </c>
    </row>
    <row r="19" spans="1:13" x14ac:dyDescent="0.25">
      <c r="A19" s="3" t="s">
        <v>73</v>
      </c>
      <c r="B19" s="19">
        <v>20</v>
      </c>
      <c r="C19" s="3" t="s">
        <v>74</v>
      </c>
      <c r="F19" s="3" t="s">
        <v>73</v>
      </c>
      <c r="G19" s="19">
        <v>20</v>
      </c>
      <c r="H19" s="3" t="s">
        <v>74</v>
      </c>
      <c r="K19" s="3" t="s">
        <v>73</v>
      </c>
      <c r="L19" s="19">
        <v>20</v>
      </c>
      <c r="M19" s="3" t="s">
        <v>74</v>
      </c>
    </row>
    <row r="20" spans="1:13" x14ac:dyDescent="0.25">
      <c r="A20" s="3"/>
      <c r="C20" s="3"/>
      <c r="F20" s="3"/>
      <c r="H20" s="3"/>
      <c r="K20" s="3"/>
      <c r="M20" s="3"/>
    </row>
    <row r="21" spans="1:13" x14ac:dyDescent="0.25">
      <c r="A21" s="3"/>
      <c r="C21" s="3"/>
      <c r="F21" s="3"/>
      <c r="H21" s="3"/>
      <c r="K21" s="3"/>
      <c r="M21" s="3"/>
    </row>
    <row r="22" spans="1:13" ht="18.75" x14ac:dyDescent="0.3">
      <c r="A22" s="1" t="s">
        <v>79</v>
      </c>
      <c r="F22" s="1" t="s">
        <v>79</v>
      </c>
      <c r="K22" s="1" t="s">
        <v>79</v>
      </c>
    </row>
    <row r="23" spans="1:13" x14ac:dyDescent="0.25">
      <c r="A23" s="2" t="s">
        <v>1</v>
      </c>
      <c r="B23" s="2" t="s">
        <v>2</v>
      </c>
      <c r="C23" s="2" t="s">
        <v>3</v>
      </c>
      <c r="F23" s="2" t="s">
        <v>1</v>
      </c>
      <c r="G23" s="2" t="s">
        <v>2</v>
      </c>
      <c r="H23" s="2" t="s">
        <v>3</v>
      </c>
      <c r="K23" s="2" t="s">
        <v>1</v>
      </c>
      <c r="L23" s="2" t="s">
        <v>2</v>
      </c>
      <c r="M23" s="2" t="s">
        <v>3</v>
      </c>
    </row>
    <row r="24" spans="1:13" x14ac:dyDescent="0.25">
      <c r="A24" t="s">
        <v>81</v>
      </c>
      <c r="B24" s="19">
        <v>78</v>
      </c>
      <c r="C24" s="3" t="s">
        <v>80</v>
      </c>
      <c r="F24" t="s">
        <v>81</v>
      </c>
      <c r="G24" s="19">
        <v>78</v>
      </c>
      <c r="H24" s="3" t="s">
        <v>80</v>
      </c>
      <c r="K24" t="s">
        <v>81</v>
      </c>
      <c r="L24" s="19">
        <v>78</v>
      </c>
      <c r="M24" s="3" t="s">
        <v>80</v>
      </c>
    </row>
    <row r="25" spans="1:13" x14ac:dyDescent="0.25">
      <c r="A25" t="s">
        <v>83</v>
      </c>
      <c r="B25" s="20">
        <v>48</v>
      </c>
      <c r="C25" s="3" t="s">
        <v>84</v>
      </c>
      <c r="F25" t="s">
        <v>83</v>
      </c>
      <c r="G25" s="20">
        <v>48</v>
      </c>
      <c r="H25" s="3" t="s">
        <v>84</v>
      </c>
      <c r="K25" t="s">
        <v>83</v>
      </c>
      <c r="L25" s="20">
        <v>48</v>
      </c>
      <c r="M25" s="3" t="s">
        <v>84</v>
      </c>
    </row>
    <row r="26" spans="1:13" x14ac:dyDescent="0.25">
      <c r="A26" t="s">
        <v>82</v>
      </c>
      <c r="B26" s="19">
        <v>6.7</v>
      </c>
      <c r="C26" s="3" t="s">
        <v>84</v>
      </c>
      <c r="F26" t="s">
        <v>82</v>
      </c>
      <c r="G26" s="19">
        <v>6.7</v>
      </c>
      <c r="H26" s="3" t="s">
        <v>84</v>
      </c>
      <c r="K26" t="s">
        <v>82</v>
      </c>
      <c r="L26" s="19">
        <v>6.7</v>
      </c>
      <c r="M26" s="3" t="s">
        <v>84</v>
      </c>
    </row>
    <row r="29" spans="1:13" ht="18.75" x14ac:dyDescent="0.25">
      <c r="A29" s="27" t="s">
        <v>93</v>
      </c>
      <c r="B29" s="27"/>
      <c r="C29" s="27"/>
    </row>
    <row r="30" spans="1:13" ht="18.75" x14ac:dyDescent="0.3">
      <c r="A30" s="1" t="s">
        <v>70</v>
      </c>
    </row>
    <row r="31" spans="1:13" x14ac:dyDescent="0.25">
      <c r="A31" s="2" t="s">
        <v>1</v>
      </c>
      <c r="B31" s="2" t="s">
        <v>2</v>
      </c>
      <c r="C31" s="2" t="s">
        <v>3</v>
      </c>
    </row>
    <row r="32" spans="1:13" x14ac:dyDescent="0.25">
      <c r="A32" s="3" t="s">
        <v>78</v>
      </c>
      <c r="B32" s="20">
        <v>1</v>
      </c>
      <c r="C32" s="3" t="s">
        <v>77</v>
      </c>
    </row>
    <row r="33" spans="1:3" x14ac:dyDescent="0.25">
      <c r="A33" s="3" t="s">
        <v>76</v>
      </c>
      <c r="B33" s="20">
        <v>10</v>
      </c>
      <c r="C33" s="3" t="s">
        <v>77</v>
      </c>
    </row>
    <row r="34" spans="1:3" x14ac:dyDescent="0.25">
      <c r="A34" s="3" t="s">
        <v>71</v>
      </c>
      <c r="B34" s="19">
        <v>15</v>
      </c>
      <c r="C34" s="3" t="s">
        <v>71</v>
      </c>
    </row>
    <row r="35" spans="1:3" x14ac:dyDescent="0.25">
      <c r="A35" s="3" t="s">
        <v>72</v>
      </c>
      <c r="B35" s="19">
        <v>25</v>
      </c>
      <c r="C35" s="3" t="s">
        <v>72</v>
      </c>
    </row>
    <row r="36" spans="1:3" x14ac:dyDescent="0.25">
      <c r="A36" s="3" t="s">
        <v>73</v>
      </c>
      <c r="B36" s="19">
        <v>20</v>
      </c>
      <c r="C36" s="3" t="s">
        <v>74</v>
      </c>
    </row>
    <row r="37" spans="1:3" x14ac:dyDescent="0.25">
      <c r="A37" s="3"/>
      <c r="C37" s="3"/>
    </row>
    <row r="38" spans="1:3" x14ac:dyDescent="0.25">
      <c r="A38" s="3"/>
      <c r="C38" s="3"/>
    </row>
    <row r="39" spans="1:3" ht="18.75" x14ac:dyDescent="0.3">
      <c r="A39" s="1" t="s">
        <v>79</v>
      </c>
    </row>
    <row r="40" spans="1:3" x14ac:dyDescent="0.25">
      <c r="A40" s="2" t="s">
        <v>1</v>
      </c>
      <c r="B40" s="2" t="s">
        <v>2</v>
      </c>
      <c r="C40" s="2" t="s">
        <v>3</v>
      </c>
    </row>
    <row r="41" spans="1:3" x14ac:dyDescent="0.25">
      <c r="A41" t="s">
        <v>81</v>
      </c>
      <c r="B41" s="19">
        <v>78</v>
      </c>
      <c r="C41" s="3" t="s">
        <v>80</v>
      </c>
    </row>
    <row r="42" spans="1:3" x14ac:dyDescent="0.25">
      <c r="A42" t="s">
        <v>83</v>
      </c>
      <c r="B42" s="20">
        <v>48</v>
      </c>
      <c r="C42" s="3" t="s">
        <v>84</v>
      </c>
    </row>
    <row r="43" spans="1:3" x14ac:dyDescent="0.25">
      <c r="A43" t="s">
        <v>82</v>
      </c>
      <c r="B43" s="19">
        <v>6.7</v>
      </c>
      <c r="C43" s="3" t="s">
        <v>84</v>
      </c>
    </row>
  </sheetData>
  <mergeCells count="4">
    <mergeCell ref="A12:C12"/>
    <mergeCell ref="F12:H12"/>
    <mergeCell ref="K12:M12"/>
    <mergeCell ref="A29:C29"/>
  </mergeCells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A16"/>
  <sheetViews>
    <sheetView tabSelected="1" topLeftCell="N1" workbookViewId="0">
      <pane ySplit="3" topLeftCell="A4" activePane="bottomLeft" state="frozen"/>
      <selection pane="bottomLeft" activeCell="AA7" sqref="AA7"/>
    </sheetView>
  </sheetViews>
  <sheetFormatPr defaultRowHeight="15" x14ac:dyDescent="0.25"/>
  <cols>
    <col min="1" max="1" width="36" customWidth="1"/>
    <col min="2" max="2" width="10.7109375" customWidth="1"/>
    <col min="3" max="3" width="18" customWidth="1"/>
    <col min="4" max="5" width="14" customWidth="1"/>
    <col min="6" max="6" width="25" customWidth="1"/>
    <col min="7" max="9" width="14" customWidth="1"/>
    <col min="10" max="10" width="15" customWidth="1"/>
    <col min="11" max="11" width="16" customWidth="1"/>
    <col min="12" max="12" width="18" customWidth="1"/>
    <col min="13" max="13" width="26.28515625" customWidth="1"/>
    <col min="14" max="15" width="16" customWidth="1"/>
    <col min="16" max="16" width="18" customWidth="1"/>
    <col min="17" max="17" width="19.7109375" bestFit="1" customWidth="1"/>
    <col min="18" max="27" width="17.28515625" customWidth="1"/>
  </cols>
  <sheetData>
    <row r="1" spans="1:27" ht="18.75" x14ac:dyDescent="0.3">
      <c r="A1" s="1" t="s">
        <v>14</v>
      </c>
      <c r="B1" s="1"/>
    </row>
    <row r="2" spans="1:27" s="24" customFormat="1" ht="44.25" customHeight="1" x14ac:dyDescent="0.25">
      <c r="A2" s="26" t="s">
        <v>15</v>
      </c>
      <c r="B2" s="26" t="s">
        <v>75</v>
      </c>
      <c r="C2" s="26" t="s">
        <v>16</v>
      </c>
      <c r="D2" s="26" t="s">
        <v>17</v>
      </c>
      <c r="E2" s="26" t="s">
        <v>18</v>
      </c>
      <c r="F2" s="26" t="s">
        <v>69</v>
      </c>
      <c r="G2" s="26" t="s">
        <v>19</v>
      </c>
      <c r="H2" s="26" t="s">
        <v>20</v>
      </c>
      <c r="I2" s="26" t="s">
        <v>21</v>
      </c>
      <c r="J2" s="26" t="s">
        <v>22</v>
      </c>
      <c r="K2" s="26" t="s">
        <v>23</v>
      </c>
      <c r="L2" s="26" t="s">
        <v>24</v>
      </c>
      <c r="M2" s="26" t="s">
        <v>25</v>
      </c>
      <c r="N2" s="26" t="s">
        <v>26</v>
      </c>
      <c r="O2" s="26" t="s">
        <v>27</v>
      </c>
      <c r="P2" s="26" t="s">
        <v>28</v>
      </c>
      <c r="Q2" s="26" t="s">
        <v>29</v>
      </c>
      <c r="R2" s="26" t="s">
        <v>30</v>
      </c>
      <c r="S2" s="26" t="s">
        <v>31</v>
      </c>
      <c r="T2" s="26" t="s">
        <v>32</v>
      </c>
      <c r="U2" s="26" t="s">
        <v>33</v>
      </c>
      <c r="V2" s="26" t="s">
        <v>34</v>
      </c>
      <c r="W2" s="26" t="s">
        <v>35</v>
      </c>
      <c r="X2" s="26" t="s">
        <v>36</v>
      </c>
      <c r="Y2" s="26" t="s">
        <v>37</v>
      </c>
      <c r="Z2" s="26" t="s">
        <v>38</v>
      </c>
      <c r="AA2" s="26" t="s">
        <v>39</v>
      </c>
    </row>
    <row r="3" spans="1:27" x14ac:dyDescent="0.25">
      <c r="A3" s="5" t="s">
        <v>40</v>
      </c>
      <c r="B3" s="5"/>
    </row>
    <row r="4" spans="1:27" x14ac:dyDescent="0.25">
      <c r="A4" s="6" t="s">
        <v>86</v>
      </c>
      <c r="B4" s="13">
        <f>ROUNDUP(N4/(Parâmetros!$B$10*K4),0)</f>
        <v>104</v>
      </c>
      <c r="C4" s="6" t="s">
        <v>41</v>
      </c>
      <c r="D4" s="10">
        <f>B4*Parâmetros!$B$24</f>
        <v>8112</v>
      </c>
      <c r="E4" s="10">
        <f>(B4/5)*Parâmetros!$B$25*Parâmetros!$B$26</f>
        <v>6689.2800000000007</v>
      </c>
      <c r="F4" s="7">
        <v>3000</v>
      </c>
      <c r="G4" s="10">
        <f>Parâmetros!$B$16*(Parâmetros!$B$17*$B$4)+(Parâmetros!B15*Parâmetros!B17*B4)</f>
        <v>17160</v>
      </c>
      <c r="H4" s="10">
        <f>Parâmetros!$B$16*(Parâmetros!$B$18*$B$4)+(Parâmetros!$B$15*Parâmetros!$B$18*B4)</f>
        <v>28600</v>
      </c>
      <c r="I4" s="10">
        <f>Parâmetros!$B$15*(Parâmetros!$B$19*$B$4)</f>
        <v>2080</v>
      </c>
      <c r="J4" s="7">
        <v>600</v>
      </c>
      <c r="K4" s="8">
        <v>5</v>
      </c>
      <c r="L4" s="23">
        <f>N4/K4</f>
        <v>6200</v>
      </c>
      <c r="M4" s="7">
        <v>5</v>
      </c>
      <c r="N4" s="22">
        <v>31000</v>
      </c>
      <c r="O4" s="10">
        <f t="shared" ref="O4:O11" si="0">D4+E4+F4+G4+H4+I4+J4</f>
        <v>66241.279999999999</v>
      </c>
      <c r="P4" s="10">
        <f t="shared" ref="P4:P11" si="1">N4*M4</f>
        <v>155000</v>
      </c>
      <c r="Q4" s="10">
        <f t="shared" ref="Q4:Q11" si="2">O4+P4</f>
        <v>221241.28</v>
      </c>
      <c r="R4" s="10">
        <f>Q4*(1+Parâmetros!$B$3+Parâmetros!$B$4)</f>
        <v>265489.53599999996</v>
      </c>
      <c r="S4" s="10">
        <f t="shared" ref="S4:S11" si="3">IF(N4&gt;0, R4/N4, 0)</f>
        <v>8.5641785806451605</v>
      </c>
      <c r="T4" s="10">
        <f>IF(N4&gt;0,(R4/N4)*(1+Parâmetros!$B$6)/(1-Parâmetros!$B$5),0)</f>
        <v>11.719402268251274</v>
      </c>
      <c r="U4" s="10">
        <f>IF(N4&gt;0,(R4/N4)*(1+Parâmetros!$B$7)/(1-Parâmetros!$B$5),0)</f>
        <v>13.522387232597621</v>
      </c>
      <c r="V4" s="10">
        <f>IF(N4&gt;0,(R4/N4)*(1+Parâmetros!$B$8)/(1-Parâmetros!$B$5),0)</f>
        <v>15.32537219694397</v>
      </c>
      <c r="W4" s="10">
        <f>IF(N4&gt;0,(R4/N4)*(1+Parâmetros!$B$9)/(1-Parâmetros!$B$5),0)</f>
        <v>18.029849643463496</v>
      </c>
      <c r="X4" s="10">
        <f t="shared" ref="X4:X12" si="4">T4*N4</f>
        <v>363301.47031578951</v>
      </c>
      <c r="Y4" s="10">
        <f t="shared" ref="Y4:Y12" si="5">U4*N4</f>
        <v>419194.00421052624</v>
      </c>
      <c r="Z4" s="10">
        <f t="shared" ref="Z4:Z12" si="6">V4*N4</f>
        <v>475086.53810526308</v>
      </c>
      <c r="AA4" s="10">
        <f t="shared" ref="AA4:AA12" si="7">W4*N4</f>
        <v>558925.33894736844</v>
      </c>
    </row>
    <row r="5" spans="1:27" x14ac:dyDescent="0.25">
      <c r="A5" s="6" t="s">
        <v>90</v>
      </c>
      <c r="B5" s="13">
        <f>ROUNDUP(N5/(Parâmetros!$B$10*K5),0)</f>
        <v>14</v>
      </c>
      <c r="C5" s="6" t="s">
        <v>85</v>
      </c>
      <c r="D5" s="10">
        <f>B5*Parâmetros!$B$24</f>
        <v>1092</v>
      </c>
      <c r="E5" s="10">
        <f>(B5/5)*Parâmetros!$B$25*Parâmetros!$B$26</f>
        <v>900.4799999999999</v>
      </c>
      <c r="F5" s="7">
        <v>1000</v>
      </c>
      <c r="G5" s="10">
        <f>Parâmetros!$G$16*(Parâmetros!$G$17*$B$5)+(Parâmetros!G15*Parâmetros!G17*B5)</f>
        <v>1470</v>
      </c>
      <c r="H5" s="10">
        <f>Parâmetros!$G$16*(Parâmetros!$G$18*$B$5)+(Parâmetros!$G$15*Parâmetros!$G$18*B5)</f>
        <v>2450</v>
      </c>
      <c r="I5" s="10">
        <f>Parâmetros!$G$15*(Parâmetros!$G$19*$B$5)</f>
        <v>280</v>
      </c>
      <c r="J5" s="7">
        <v>600</v>
      </c>
      <c r="K5" s="8">
        <v>3</v>
      </c>
      <c r="L5" s="23">
        <f>N5/K5</f>
        <v>833.33333333333337</v>
      </c>
      <c r="M5" s="7">
        <v>5</v>
      </c>
      <c r="N5" s="22">
        <v>2500</v>
      </c>
      <c r="O5" s="10">
        <f t="shared" si="0"/>
        <v>7792.48</v>
      </c>
      <c r="P5" s="10">
        <f t="shared" si="1"/>
        <v>12500</v>
      </c>
      <c r="Q5" s="10">
        <f t="shared" si="2"/>
        <v>20292.48</v>
      </c>
      <c r="R5" s="10">
        <f>Q5*(1+Parâmetros!$B$3+Parâmetros!$B$4)</f>
        <v>24350.975999999999</v>
      </c>
      <c r="S5" s="10">
        <f t="shared" si="3"/>
        <v>9.740390399999999</v>
      </c>
      <c r="T5" s="10">
        <f>IF(N5&gt;0,(R5/N5)*(1+Parâmetros!$B$6)/(1-Parâmetros!$B$5),0)</f>
        <v>13.328955284210526</v>
      </c>
      <c r="U5" s="10">
        <f>IF(N5&gt;0,(R5/N5)*(1+Parâmetros!$B$7)/(1-Parâmetros!$B$5),0)</f>
        <v>15.379563789473684</v>
      </c>
      <c r="V5" s="10">
        <f>IF(N5&gt;0,(R5/N5)*(1+Parâmetros!$B$8)/(1-Parâmetros!$B$5),0)</f>
        <v>17.430172294736842</v>
      </c>
      <c r="W5" s="10">
        <f>IF(N5&gt;0,(R5/N5)*(1+Parâmetros!$B$9)/(1-Parâmetros!$B$5),0)</f>
        <v>20.506085052631576</v>
      </c>
      <c r="X5" s="10">
        <f t="shared" si="4"/>
        <v>33322.388210526318</v>
      </c>
      <c r="Y5" s="10">
        <f t="shared" si="5"/>
        <v>38448.909473684209</v>
      </c>
      <c r="Z5" s="10">
        <f t="shared" si="6"/>
        <v>43575.430736842107</v>
      </c>
      <c r="AA5" s="10">
        <f t="shared" si="7"/>
        <v>51265.212631578943</v>
      </c>
    </row>
    <row r="6" spans="1:27" x14ac:dyDescent="0.25">
      <c r="A6" s="6" t="s">
        <v>92</v>
      </c>
      <c r="B6" s="13">
        <f>ROUNDUP(N6/(Parâmetros!$B$10*K6),0)</f>
        <v>70</v>
      </c>
      <c r="C6" s="6" t="s">
        <v>91</v>
      </c>
      <c r="D6" s="10">
        <f>B6*Parâmetros!$B$24</f>
        <v>5460</v>
      </c>
      <c r="E6" s="10">
        <f>(B6/5)*Parâmetros!$B$25*Parâmetros!$B$26</f>
        <v>4502.4000000000005</v>
      </c>
      <c r="F6" s="7">
        <v>2500</v>
      </c>
      <c r="G6" s="10">
        <f>Parâmetros!$L$16*(Parâmetros!$L$17*B6)+(Parâmetros!L15*Parâmetros!L17*B6)</f>
        <v>11550</v>
      </c>
      <c r="H6" s="10">
        <f>Parâmetros!$G$16*(Parâmetros!$G$18*B6)+(Parâmetros!$G$15*Parâmetros!$G$18*B6)</f>
        <v>12250</v>
      </c>
      <c r="I6" s="10">
        <f>Parâmetros!$G$15*(Parâmetros!$G$19*B6)</f>
        <v>1400</v>
      </c>
      <c r="J6" s="7">
        <v>600</v>
      </c>
      <c r="K6" s="8">
        <v>5</v>
      </c>
      <c r="L6" s="23">
        <f>N6/K6</f>
        <v>4200</v>
      </c>
      <c r="M6" s="7">
        <v>5</v>
      </c>
      <c r="N6" s="22">
        <v>21000</v>
      </c>
      <c r="O6" s="10">
        <f t="shared" si="0"/>
        <v>38262.400000000001</v>
      </c>
      <c r="P6" s="10">
        <f t="shared" si="1"/>
        <v>105000</v>
      </c>
      <c r="Q6" s="10">
        <f t="shared" si="2"/>
        <v>143262.39999999999</v>
      </c>
      <c r="R6" s="10">
        <f>Q6*(1+Parâmetros!$B$3+Parâmetros!$B$4)</f>
        <v>171914.87999999998</v>
      </c>
      <c r="S6" s="10">
        <f t="shared" si="3"/>
        <v>8.1864228571428566</v>
      </c>
      <c r="T6" s="10">
        <f>IF(N6&gt;0,(R6/N6)*(1+Parâmetros!$B$6)/(1-Parâmetros!$B$5),0)</f>
        <v>11.202473383458647</v>
      </c>
      <c r="U6" s="10">
        <f>IF(N6&gt;0,(R6/N6)*(1+Parâmetros!$B$7)/(1-Parâmetros!$B$5),0)</f>
        <v>12.925930827067669</v>
      </c>
      <c r="V6" s="10">
        <f>IF(N6&gt;0,(R6/N6)*(1+Parâmetros!$B$8)/(1-Parâmetros!$B$5),0)</f>
        <v>14.64938827067669</v>
      </c>
      <c r="W6" s="10">
        <f>IF(N6&gt;0,(R6/N6)*(1+Parâmetros!$B$9)/(1-Parâmetros!$B$5),0)</f>
        <v>17.234574436090224</v>
      </c>
      <c r="X6" s="10">
        <f t="shared" si="4"/>
        <v>235251.94105263159</v>
      </c>
      <c r="Y6" s="10">
        <f t="shared" si="5"/>
        <v>271444.54736842104</v>
      </c>
      <c r="Z6" s="10">
        <f t="shared" si="6"/>
        <v>307637.1536842105</v>
      </c>
      <c r="AA6" s="10">
        <f t="shared" si="7"/>
        <v>361926.06315789471</v>
      </c>
    </row>
    <row r="7" spans="1:27" x14ac:dyDescent="0.25">
      <c r="A7" s="6" t="s">
        <v>86</v>
      </c>
      <c r="B7" s="13">
        <f>ROUNDUP(N7/(Parâmetros!$B$10*K7),0)</f>
        <v>97</v>
      </c>
      <c r="C7" s="6" t="s">
        <v>93</v>
      </c>
      <c r="D7" s="10">
        <f>B7*Parâmetros!$B$41</f>
        <v>7566</v>
      </c>
      <c r="E7" s="10">
        <f>(B7/5)*Parâmetros!$B$25*Parâmetros!$B$26</f>
        <v>6239.04</v>
      </c>
      <c r="F7" s="7">
        <v>3000</v>
      </c>
      <c r="G7" s="10">
        <f>Parâmetros!$L$16*(Parâmetros!$L$17*B7)+(Parâmetros!L16*Parâmetros!L18*B7)</f>
        <v>38800</v>
      </c>
      <c r="H7" s="10">
        <f>Parâmetros!$G$16*(Parâmetros!$G$18*B7)+(Parâmetros!$G$15*Parâmetros!$G$18*B7)</f>
        <v>16975</v>
      </c>
      <c r="I7" s="10">
        <f>Parâmetros!$G$15*(Parâmetros!$G$19*B7)</f>
        <v>1940</v>
      </c>
      <c r="J7" s="7">
        <v>600</v>
      </c>
      <c r="K7" s="8">
        <v>5</v>
      </c>
      <c r="L7" s="23">
        <f>N7/K7</f>
        <v>5800</v>
      </c>
      <c r="M7" s="7">
        <v>5</v>
      </c>
      <c r="N7" s="22">
        <v>29000</v>
      </c>
      <c r="O7" s="10">
        <f t="shared" ref="O7" si="8">D7+E7+F7+G7+H7+I7+J7</f>
        <v>75120.040000000008</v>
      </c>
      <c r="P7" s="10">
        <f t="shared" ref="P7" si="9">N7*M7</f>
        <v>145000</v>
      </c>
      <c r="Q7" s="10">
        <f t="shared" ref="Q7" si="10">O7+P7</f>
        <v>220120.04</v>
      </c>
      <c r="R7" s="10">
        <f>Q7*(1+Parâmetros!$B$3+Parâmetros!$B$4)</f>
        <v>264144.04800000001</v>
      </c>
      <c r="S7" s="10">
        <f t="shared" ref="S7" si="11">IF(N7&gt;0, R7/N7, 0)</f>
        <v>9.1084154482758617</v>
      </c>
      <c r="T7" s="10">
        <f>IF(N7&gt;0,(R7/N7)*(1+Parâmetros!$B$6)/(1-Parâmetros!$B$5),0)</f>
        <v>12.464147455535391</v>
      </c>
      <c r="U7" s="10">
        <f>IF(N7&gt;0,(R7/N7)*(1+Parâmetros!$B$7)/(1-Parâmetros!$B$5),0)</f>
        <v>14.381708602540835</v>
      </c>
      <c r="V7" s="10">
        <f>IF(N7&gt;0,(R7/N7)*(1+Parâmetros!$B$8)/(1-Parâmetros!$B$5),0)</f>
        <v>16.29926974954628</v>
      </c>
      <c r="W7" s="10">
        <f>IF(N7&gt;0,(R7/N7)*(1+Parâmetros!$B$9)/(1-Parâmetros!$B$5),0)</f>
        <v>19.175611470054445</v>
      </c>
      <c r="X7" s="10">
        <f t="shared" ref="X7" si="12">T7*N7</f>
        <v>361460.27621052635</v>
      </c>
      <c r="Y7" s="10">
        <f t="shared" ref="Y7" si="13">U7*N7</f>
        <v>417069.54947368422</v>
      </c>
      <c r="Z7" s="10">
        <f t="shared" ref="Z7" si="14">V7*N7</f>
        <v>472678.82273684209</v>
      </c>
      <c r="AA7" s="10">
        <f t="shared" ref="AA7" si="15">W7*N7</f>
        <v>556092.73263157893</v>
      </c>
    </row>
    <row r="8" spans="1:27" x14ac:dyDescent="0.25">
      <c r="A8" s="6"/>
      <c r="B8" s="13"/>
      <c r="C8" s="6"/>
      <c r="D8" s="10">
        <v>0</v>
      </c>
      <c r="E8" s="10">
        <v>0</v>
      </c>
      <c r="F8" s="7">
        <v>0</v>
      </c>
      <c r="G8" s="10">
        <f>Parâmetros!$L$16*(Parâmetros!$L$17*B8)+(Parâmetros!L17*Parâmetros!L19*B8)</f>
        <v>0</v>
      </c>
      <c r="H8" s="10">
        <f>Parâmetros!$G$16*(Parâmetros!$G$18*B8)+(Parâmetros!$G$15*Parâmetros!$G$18*B8)</f>
        <v>0</v>
      </c>
      <c r="I8" s="10">
        <f>Parâmetros!$G$15*(Parâmetros!$G$19*B8)</f>
        <v>0</v>
      </c>
      <c r="J8" s="7">
        <v>0</v>
      </c>
      <c r="K8" s="8">
        <v>0</v>
      </c>
      <c r="L8" s="23">
        <v>0</v>
      </c>
      <c r="M8" s="7">
        <v>0</v>
      </c>
      <c r="N8" s="22">
        <v>0</v>
      </c>
      <c r="O8" s="10">
        <f t="shared" si="0"/>
        <v>0</v>
      </c>
      <c r="P8" s="10">
        <f t="shared" si="1"/>
        <v>0</v>
      </c>
      <c r="Q8" s="10">
        <f t="shared" si="2"/>
        <v>0</v>
      </c>
      <c r="R8" s="10">
        <f>Q8*(1+Parâmetros!$B$3+Parâmetros!$B$4)</f>
        <v>0</v>
      </c>
      <c r="S8" s="10">
        <f t="shared" si="3"/>
        <v>0</v>
      </c>
      <c r="T8" s="10">
        <f>IF(N8&gt;0,(R8/N8)*(1+Parâmetros!$B$6)/(1-Parâmetros!$B$5),0)</f>
        <v>0</v>
      </c>
      <c r="U8" s="10">
        <f>IF(N8&gt;0,(R8/N8)*(1+Parâmetros!$B$7)/(1-Parâmetros!$B$5),0)</f>
        <v>0</v>
      </c>
      <c r="V8" s="10">
        <f>IF(N8&gt;0,(R8/N8)*(1+Parâmetros!$B$8)/(1-Parâmetros!$B$5),0)</f>
        <v>0</v>
      </c>
      <c r="W8" s="10">
        <f>IF(N8&gt;0,(R8/N8)*(1+Parâmetros!$B$9)/(1-Parâmetros!$B$5),0)</f>
        <v>0</v>
      </c>
      <c r="X8" s="10">
        <f t="shared" si="4"/>
        <v>0</v>
      </c>
      <c r="Y8" s="10">
        <f t="shared" si="5"/>
        <v>0</v>
      </c>
      <c r="Z8" s="10">
        <f t="shared" si="6"/>
        <v>0</v>
      </c>
      <c r="AA8" s="10">
        <f t="shared" si="7"/>
        <v>0</v>
      </c>
    </row>
    <row r="9" spans="1:27" x14ac:dyDescent="0.25">
      <c r="A9" s="6"/>
      <c r="B9" s="13"/>
      <c r="C9" s="6"/>
      <c r="D9" s="10">
        <v>0</v>
      </c>
      <c r="E9" s="10">
        <v>0</v>
      </c>
      <c r="F9" s="7">
        <v>0</v>
      </c>
      <c r="G9" s="10">
        <f>Parâmetros!$L$16*(Parâmetros!$L$17*B9)+(Parâmetros!L18*Parâmetros!L20*B9)</f>
        <v>0</v>
      </c>
      <c r="H9" s="10">
        <f>Parâmetros!$G$16*(Parâmetros!$G$18*B9)+(Parâmetros!$G$15*Parâmetros!$G$18*B9)</f>
        <v>0</v>
      </c>
      <c r="I9" s="10">
        <f>Parâmetros!$G$15*(Parâmetros!$G$19*B9)</f>
        <v>0</v>
      </c>
      <c r="J9" s="7">
        <v>0</v>
      </c>
      <c r="K9" s="8">
        <v>0</v>
      </c>
      <c r="L9" s="23">
        <v>0</v>
      </c>
      <c r="M9" s="7">
        <v>0</v>
      </c>
      <c r="N9" s="22">
        <v>0</v>
      </c>
      <c r="O9" s="10">
        <f t="shared" si="0"/>
        <v>0</v>
      </c>
      <c r="P9" s="10">
        <f t="shared" si="1"/>
        <v>0</v>
      </c>
      <c r="Q9" s="10">
        <f t="shared" si="2"/>
        <v>0</v>
      </c>
      <c r="R9" s="10">
        <f>Q9*(1+Parâmetros!$B$3+Parâmetros!$B$4)</f>
        <v>0</v>
      </c>
      <c r="S9" s="10">
        <f t="shared" si="3"/>
        <v>0</v>
      </c>
      <c r="T9" s="10">
        <f>IF(N9&gt;0,(R9/N9)*(1+Parâmetros!$B$6)/(1-Parâmetros!$B$5),0)</f>
        <v>0</v>
      </c>
      <c r="U9" s="10">
        <f>IF(N9&gt;0,(R9/N9)*(1+Parâmetros!$B$7)/(1-Parâmetros!$B$5),0)</f>
        <v>0</v>
      </c>
      <c r="V9" s="10">
        <f>IF(N9&gt;0,(R9/N9)*(1+Parâmetros!$B$8)/(1-Parâmetros!$B$5),0)</f>
        <v>0</v>
      </c>
      <c r="W9" s="10">
        <f>IF(N9&gt;0,(R9/N9)*(1+Parâmetros!$B$9)/(1-Parâmetros!$B$5),0)</f>
        <v>0</v>
      </c>
      <c r="X9" s="10">
        <f t="shared" si="4"/>
        <v>0</v>
      </c>
      <c r="Y9" s="10">
        <f t="shared" si="5"/>
        <v>0</v>
      </c>
      <c r="Z9" s="10">
        <f t="shared" si="6"/>
        <v>0</v>
      </c>
      <c r="AA9" s="10">
        <f t="shared" si="7"/>
        <v>0</v>
      </c>
    </row>
    <row r="10" spans="1:27" x14ac:dyDescent="0.25">
      <c r="A10" s="6"/>
      <c r="B10" s="13"/>
      <c r="C10" s="6"/>
      <c r="D10" s="10">
        <v>0</v>
      </c>
      <c r="E10" s="10">
        <v>0</v>
      </c>
      <c r="F10" s="7">
        <v>0</v>
      </c>
      <c r="G10" s="10">
        <f>Parâmetros!$L$16*(Parâmetros!$L$17*B10)+(Parâmetros!L19*Parâmetros!L21*B10)</f>
        <v>0</v>
      </c>
      <c r="H10" s="10">
        <f>Parâmetros!$G$16*(Parâmetros!$G$18*B10)+(Parâmetros!$G$15*Parâmetros!$G$18*B10)</f>
        <v>0</v>
      </c>
      <c r="I10" s="10">
        <f>Parâmetros!$G$15*(Parâmetros!$G$19*B10)</f>
        <v>0</v>
      </c>
      <c r="J10" s="7">
        <v>0</v>
      </c>
      <c r="K10" s="8">
        <v>0</v>
      </c>
      <c r="L10" s="23">
        <v>0</v>
      </c>
      <c r="M10" s="7">
        <v>0</v>
      </c>
      <c r="N10" s="22">
        <v>0</v>
      </c>
      <c r="O10" s="10">
        <f t="shared" si="0"/>
        <v>0</v>
      </c>
      <c r="P10" s="10">
        <f t="shared" si="1"/>
        <v>0</v>
      </c>
      <c r="Q10" s="10">
        <f t="shared" si="2"/>
        <v>0</v>
      </c>
      <c r="R10" s="10">
        <f>Q10*(1+Parâmetros!$B$3+Parâmetros!$B$4)</f>
        <v>0</v>
      </c>
      <c r="S10" s="10">
        <f t="shared" si="3"/>
        <v>0</v>
      </c>
      <c r="T10" s="10">
        <f>IF(N10&gt;0,(R10/N10)*(1+Parâmetros!$B$6)/(1-Parâmetros!$B$5),0)</f>
        <v>0</v>
      </c>
      <c r="U10" s="10">
        <f>IF(N10&gt;0,(R10/N10)*(1+Parâmetros!$B$7)/(1-Parâmetros!$B$5),0)</f>
        <v>0</v>
      </c>
      <c r="V10" s="10">
        <f>IF(N10&gt;0,(R10/N10)*(1+Parâmetros!$B$8)/(1-Parâmetros!$B$5),0)</f>
        <v>0</v>
      </c>
      <c r="W10" s="10">
        <f>IF(N10&gt;0,(R10/N10)*(1+Parâmetros!$B$9)/(1-Parâmetros!$B$5),0)</f>
        <v>0</v>
      </c>
      <c r="X10" s="10">
        <f t="shared" si="4"/>
        <v>0</v>
      </c>
      <c r="Y10" s="10">
        <f t="shared" si="5"/>
        <v>0</v>
      </c>
      <c r="Z10" s="10">
        <f t="shared" si="6"/>
        <v>0</v>
      </c>
      <c r="AA10" s="10">
        <f t="shared" si="7"/>
        <v>0</v>
      </c>
    </row>
    <row r="11" spans="1:27" x14ac:dyDescent="0.25">
      <c r="A11" s="6"/>
      <c r="B11" s="13"/>
      <c r="C11" s="6"/>
      <c r="D11" s="10">
        <v>0</v>
      </c>
      <c r="E11" s="10">
        <v>0</v>
      </c>
      <c r="F11" s="7">
        <v>0</v>
      </c>
      <c r="G11" s="10">
        <f>Parâmetros!$L$16*(Parâmetros!$L$17*B11)+(Parâmetros!L20*Parâmetros!L22*B11)</f>
        <v>0</v>
      </c>
      <c r="H11" s="10">
        <f>Parâmetros!$G$16*(Parâmetros!$G$18*B11)+(Parâmetros!$G$15*Parâmetros!$G$18*B11)</f>
        <v>0</v>
      </c>
      <c r="I11" s="10">
        <f>Parâmetros!$G$15*(Parâmetros!$G$19*B11)</f>
        <v>0</v>
      </c>
      <c r="J11" s="7">
        <v>0</v>
      </c>
      <c r="K11" s="8">
        <v>0</v>
      </c>
      <c r="L11" s="23">
        <v>0</v>
      </c>
      <c r="M11" s="7">
        <v>0</v>
      </c>
      <c r="N11" s="22">
        <v>0</v>
      </c>
      <c r="O11" s="10">
        <f t="shared" si="0"/>
        <v>0</v>
      </c>
      <c r="P11" s="10">
        <f t="shared" si="1"/>
        <v>0</v>
      </c>
      <c r="Q11" s="10">
        <f t="shared" si="2"/>
        <v>0</v>
      </c>
      <c r="R11" s="10">
        <f>Q11*(1+Parâmetros!$B$3+Parâmetros!$B$4)</f>
        <v>0</v>
      </c>
      <c r="S11" s="10">
        <f t="shared" si="3"/>
        <v>0</v>
      </c>
      <c r="T11" s="10">
        <f>IF(N11&gt;0,(R11/N11)*(1+Parâmetros!$B$6)/(1-Parâmetros!$B$5),0)</f>
        <v>0</v>
      </c>
      <c r="U11" s="10">
        <f>IF(N11&gt;0,(R11/N11)*(1+Parâmetros!$B$7)/(1-Parâmetros!$B$5),0)</f>
        <v>0</v>
      </c>
      <c r="V11" s="10">
        <f>IF(N11&gt;0,(R11/N11)*(1+Parâmetros!$B$8)/(1-Parâmetros!$B$5),0)</f>
        <v>0</v>
      </c>
      <c r="W11" s="10">
        <f>IF(N11&gt;0,(R11/N11)*(1+Parâmetros!$B$9)/(1-Parâmetros!$B$5),0)</f>
        <v>0</v>
      </c>
      <c r="X11" s="10">
        <f t="shared" si="4"/>
        <v>0</v>
      </c>
      <c r="Y11" s="10">
        <f t="shared" si="5"/>
        <v>0</v>
      </c>
      <c r="Z11" s="10">
        <f t="shared" si="6"/>
        <v>0</v>
      </c>
      <c r="AA11" s="10">
        <f t="shared" si="7"/>
        <v>0</v>
      </c>
    </row>
    <row r="12" spans="1:27" x14ac:dyDescent="0.25">
      <c r="T12" s="18">
        <f>IF(N12&gt;0,(R12/N12)*(1+Parâmetros!$B$6)/(1-Parâmetros!$B$5),0)</f>
        <v>0</v>
      </c>
      <c r="U12" s="18">
        <f>IF(N12&gt;0,(R12/N12)*(1+Parâmetros!$B$7)/(1-Parâmetros!$B$5),0)</f>
        <v>0</v>
      </c>
      <c r="V12" s="18">
        <f>IF(N12&gt;0,(R12/N12)*(1+Parâmetros!$B$8)/(1-Parâmetros!$B$5),0)</f>
        <v>0</v>
      </c>
      <c r="W12" s="18">
        <f>IF(N12&gt;0,(R12/N12)*(1+Parâmetros!$B$9)/(1-Parâmetros!$B$5),0)</f>
        <v>0</v>
      </c>
      <c r="X12" s="18">
        <f t="shared" si="4"/>
        <v>0</v>
      </c>
      <c r="Y12" s="18">
        <f t="shared" si="5"/>
        <v>0</v>
      </c>
      <c r="Z12" s="18">
        <f t="shared" si="6"/>
        <v>0</v>
      </c>
      <c r="AA12" s="18">
        <f t="shared" si="7"/>
        <v>0</v>
      </c>
    </row>
    <row r="13" spans="1:27" x14ac:dyDescent="0.25">
      <c r="M13" s="11" t="s">
        <v>42</v>
      </c>
      <c r="N13" s="9">
        <f>SUM(N4:N12)</f>
        <v>83500</v>
      </c>
      <c r="O13" s="10">
        <f>SUM(O4:O12)</f>
        <v>187416.2</v>
      </c>
      <c r="P13" s="10">
        <f>SUM(P4:P12)</f>
        <v>417500</v>
      </c>
      <c r="Q13" s="10">
        <f>SUM(Q4:Q12)</f>
        <v>604916.20000000007</v>
      </c>
      <c r="R13" s="25">
        <f>SUM(R4:R12)</f>
        <v>725899.44</v>
      </c>
      <c r="X13" s="10">
        <f>SUM(X4:X12)</f>
        <v>993336.07578947383</v>
      </c>
      <c r="Y13" s="10">
        <f>SUM(Y4:Y12)</f>
        <v>1146157.0105263158</v>
      </c>
      <c r="Z13" s="10">
        <f>SUM(Z4:Z12)</f>
        <v>1298977.9452631578</v>
      </c>
      <c r="AA13" s="10">
        <f>SUM(AA4:AA12)</f>
        <v>1528209.347368421</v>
      </c>
    </row>
    <row r="16" spans="1:27" x14ac:dyDescent="0.25">
      <c r="G16" s="18"/>
      <c r="H16" s="18"/>
    </row>
  </sheetData>
  <phoneticPr fontId="7" type="noConversion"/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21"/>
  <sheetViews>
    <sheetView workbookViewId="0">
      <selection activeCell="A8" sqref="A8"/>
    </sheetView>
  </sheetViews>
  <sheetFormatPr defaultRowHeight="15" x14ac:dyDescent="0.25"/>
  <cols>
    <col min="1" max="1" width="84.5703125" customWidth="1"/>
    <col min="2" max="2" width="36" customWidth="1"/>
    <col min="3" max="3" width="20" customWidth="1"/>
    <col min="4" max="7" width="22" customWidth="1"/>
  </cols>
  <sheetData>
    <row r="1" spans="1:5" ht="18.75" x14ac:dyDescent="0.3">
      <c r="A1" s="1" t="s">
        <v>43</v>
      </c>
    </row>
    <row r="3" spans="1:5" x14ac:dyDescent="0.25">
      <c r="A3" s="12" t="s">
        <v>44</v>
      </c>
      <c r="B3" s="13" t="str">
        <f>'Resumo por Cidade'!A4</f>
        <v>95 dias uteis - 5 duplas + 1 responsavel</v>
      </c>
      <c r="D3" t="s">
        <v>45</v>
      </c>
      <c r="E3" s="6">
        <v>4</v>
      </c>
    </row>
    <row r="4" spans="1:5" x14ac:dyDescent="0.25">
      <c r="A4" s="12" t="s">
        <v>16</v>
      </c>
      <c r="B4" s="13" t="str">
        <f>'Resumo por Cidade'!C4</f>
        <v>Brumado</v>
      </c>
      <c r="D4" s="14" t="s">
        <v>46</v>
      </c>
    </row>
    <row r="5" spans="1:5" x14ac:dyDescent="0.25">
      <c r="A5" s="12" t="s">
        <v>26</v>
      </c>
      <c r="B5" s="9">
        <f>'Resumo por Cidade'!N4</f>
        <v>31000</v>
      </c>
      <c r="D5" s="2" t="s">
        <v>47</v>
      </c>
      <c r="E5" s="2" t="s">
        <v>48</v>
      </c>
    </row>
    <row r="6" spans="1:5" x14ac:dyDescent="0.25">
      <c r="A6" s="12" t="s">
        <v>49</v>
      </c>
      <c r="B6" s="10">
        <f>'Resumo por Cidade'!R4</f>
        <v>265489.53599999996</v>
      </c>
      <c r="D6" s="13" t="s">
        <v>50</v>
      </c>
      <c r="E6" s="15">
        <f>Parâmetros!$B$6</f>
        <v>0.3</v>
      </c>
    </row>
    <row r="7" spans="1:5" x14ac:dyDescent="0.25">
      <c r="A7" s="12" t="s">
        <v>51</v>
      </c>
      <c r="B7" s="10">
        <f>'Resumo por Cidade'!S4</f>
        <v>8.5641785806451605</v>
      </c>
      <c r="D7" s="13" t="s">
        <v>52</v>
      </c>
      <c r="E7" s="15">
        <f>Parâmetros!$B$7</f>
        <v>0.5</v>
      </c>
    </row>
    <row r="8" spans="1:5" x14ac:dyDescent="0.25">
      <c r="D8" s="13" t="s">
        <v>53</v>
      </c>
      <c r="E8" s="15">
        <f>Parâmetros!$B$8</f>
        <v>0.7</v>
      </c>
    </row>
    <row r="9" spans="1:5" x14ac:dyDescent="0.25">
      <c r="A9" s="12" t="s">
        <v>54</v>
      </c>
      <c r="B9" s="10">
        <f>CHOOSE(E3,'Resumo por Cidade'!T4,'Resumo por Cidade'!U4,'Resumo por Cidade'!V4,'Resumo por Cidade'!W4)</f>
        <v>18.029849643463496</v>
      </c>
      <c r="D9" s="12" t="s">
        <v>55</v>
      </c>
      <c r="E9" s="10">
        <f>Parâmetros!$B$5*B10</f>
        <v>27946.266947368422</v>
      </c>
    </row>
    <row r="10" spans="1:5" x14ac:dyDescent="0.25">
      <c r="A10" s="12" t="s">
        <v>56</v>
      </c>
      <c r="B10" s="10">
        <f>CHOOSE(E3,'Resumo por Cidade'!X4,'Resumo por Cidade'!Y4,'Resumo por Cidade'!Z4,'Resumo por Cidade'!AA4)</f>
        <v>558925.33894736844</v>
      </c>
      <c r="D10" s="12" t="s">
        <v>57</v>
      </c>
      <c r="E10" s="10">
        <f>B10 - B6 - E9</f>
        <v>265489.53600000008</v>
      </c>
    </row>
    <row r="12" spans="1:5" x14ac:dyDescent="0.25">
      <c r="A12" s="14" t="s">
        <v>58</v>
      </c>
    </row>
    <row r="13" spans="1:5" x14ac:dyDescent="0.25">
      <c r="A13" s="2" t="s">
        <v>59</v>
      </c>
      <c r="B13" s="2" t="s">
        <v>48</v>
      </c>
      <c r="C13" s="2" t="s">
        <v>60</v>
      </c>
    </row>
    <row r="14" spans="1:5" x14ac:dyDescent="0.25">
      <c r="A14" s="13" t="s">
        <v>61</v>
      </c>
      <c r="B14" s="4">
        <v>0.3</v>
      </c>
      <c r="C14" s="10">
        <f>B14*$B$10</f>
        <v>167677.60168421053</v>
      </c>
    </row>
    <row r="15" spans="1:5" x14ac:dyDescent="0.25">
      <c r="A15" s="13" t="s">
        <v>62</v>
      </c>
      <c r="B15" s="4">
        <v>0.4</v>
      </c>
      <c r="C15" s="10">
        <f>B15*$B$10</f>
        <v>223570.13557894737</v>
      </c>
    </row>
    <row r="16" spans="1:5" x14ac:dyDescent="0.25">
      <c r="A16" s="13" t="s">
        <v>63</v>
      </c>
      <c r="B16" s="4">
        <v>0.3</v>
      </c>
      <c r="C16" s="10">
        <f>B16*$B$10</f>
        <v>167677.60168421053</v>
      </c>
    </row>
    <row r="17" spans="1:3" x14ac:dyDescent="0.25">
      <c r="A17" s="16" t="s">
        <v>64</v>
      </c>
      <c r="B17" s="15">
        <f>SUM(B14:B16)</f>
        <v>1</v>
      </c>
      <c r="C17" s="10">
        <f>SUM(C14:C16)</f>
        <v>558925.33894736844</v>
      </c>
    </row>
    <row r="18" spans="1:3" x14ac:dyDescent="0.25">
      <c r="A18" s="14" t="s">
        <v>65</v>
      </c>
    </row>
    <row r="19" spans="1:3" x14ac:dyDescent="0.25">
      <c r="A19" s="17" t="s">
        <v>66</v>
      </c>
    </row>
    <row r="20" spans="1:3" x14ac:dyDescent="0.25">
      <c r="A20" s="17" t="s">
        <v>67</v>
      </c>
    </row>
    <row r="21" spans="1:3" x14ac:dyDescent="0.25">
      <c r="A21" s="17" t="s">
        <v>68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Parâmetros</vt:lpstr>
      <vt:lpstr>Resumo por Cidade</vt:lpstr>
      <vt:lpstr>Proposta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antonio santos</cp:lastModifiedBy>
  <dcterms:created xsi:type="dcterms:W3CDTF">2025-09-16T12:06:52Z</dcterms:created>
  <dcterms:modified xsi:type="dcterms:W3CDTF">2025-10-01T16:07:08Z</dcterms:modified>
</cp:coreProperties>
</file>